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0" windowWidth="28800" windowHeight="16980" activeTab="0"/>
  </bookViews>
  <sheets>
    <sheet name="Estimate" sheetId="1" r:id="rId1"/>
  </sheets>
  <definedNames>
    <definedName name="_xlfn.IFERROR" hidden="1">#NAME?</definedName>
    <definedName name="AppFee">'Estimate'!$C$10</definedName>
    <definedName name="CompanyType">'Estimate'!$C$8</definedName>
    <definedName name="FeesEnd">'Estimate'!$O$10</definedName>
    <definedName name="FeesStart">'Estimate'!$O$8</definedName>
    <definedName name="FullDate">'Estimate'!$F$4</definedName>
    <definedName name="FullDetails">'Estimate'!$F$10</definedName>
    <definedName name="RevDate">'Estimate'!$F$5</definedName>
    <definedName name="RevDay">'Estimate'!$F$6</definedName>
    <definedName name="RevFeeTotal">'Estimate'!$C$33</definedName>
    <definedName name="RevMonth">'Estimate'!$F$5</definedName>
    <definedName name="Year">'Estimate'!$C$4</definedName>
  </definedNames>
  <calcPr fullCalcOnLoad="1"/>
</workbook>
</file>

<file path=xl/sharedStrings.xml><?xml version="1.0" encoding="utf-8"?>
<sst xmlns="http://schemas.openxmlformats.org/spreadsheetml/2006/main" count="42" uniqueCount="33">
  <si>
    <t>Proprietary</t>
  </si>
  <si>
    <t>January</t>
  </si>
  <si>
    <t>Year</t>
  </si>
  <si>
    <t>Value</t>
  </si>
  <si>
    <t>Public</t>
  </si>
  <si>
    <t>Jan-Jun</t>
  </si>
  <si>
    <t>Jul-Dec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</si>
  <si>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</si>
  <si>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</si>
  <si>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</si>
  <si>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</si>
  <si>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</si>
  <si>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</si>
  <si>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</si>
  <si>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</si>
  <si>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</si>
  <si>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</si>
  <si>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</si>
  <si>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Application Fee</t>
  </si>
  <si>
    <t>Estimate Total</t>
  </si>
  <si>
    <t>Online Reinstatement Calculator</t>
  </si>
  <si>
    <t xml:space="preserve">Annual Review Fees </t>
  </si>
  <si>
    <t>Review Fees Total</t>
  </si>
  <si>
    <t>Year deregistered</t>
  </si>
  <si>
    <t>Company type</t>
  </si>
  <si>
    <t>OR</t>
  </si>
  <si>
    <t>Date deregistered</t>
  </si>
  <si>
    <t>Review Date (dd/mm)</t>
  </si>
  <si>
    <t>Fin Year start</t>
  </si>
  <si>
    <t>Fin Year end</t>
  </si>
  <si>
    <t>Special Purpose - Public</t>
  </si>
  <si>
    <t>Special Purpose - Proprietary</t>
  </si>
  <si>
    <t>Calculated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</si>
</sst>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\ 000\ 000"/>
    <numFmt numFmtId="165" formatCode="&quot;$&quot;#,##0.00"/>
    <numFmt numFmtId="166" formatCode="[$-C09]dddd\,\ d\ mmmm\ yyyy"/>
    <numFmt numFmtId="167" formatCode="[$-409]h:mm:ss\ AM/PM"/>
    <numFmt numFmtId="168" formatCode="0.0"/>
    <numFmt numFmtId="169" formatCode="000000000"/>
    <numFmt numFmtId="170" formatCode="mmmm\-yy"/>
    <numFmt numFmtId="171" formatCode="0.0%"/>
    <numFmt numFmtId="172" formatCode="mmmm\ yyyy"/>
    <numFmt numFmtId="173" formatCode="d\ mmm"/>
    <numFmt numFmtId="174" formatCode="dd/mm/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indexed="21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color indexed="21"/>
      <name val="Calibri"/>
      <family val="2"/>
    </font>
    <font>
      <b/>
      <sz val="20"/>
      <name val="Calibri"/>
      <family val="2"/>
    </font>
    <font>
      <sz val="14"/>
      <color indexed="10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49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4999699890613556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8" tint="-0.499969989061355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8" tint="-0.4999699890613556"/>
      <name val="Calibri"/>
      <family val="2"/>
    </font>
    <font>
      <sz val="11"/>
      <color rgb="FF00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44" fontId="20" fillId="33" borderId="10" xfId="44" applyFont="1" applyFill="1" applyBorder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/>
      <protection/>
    </xf>
    <xf numFmtId="14" fontId="38" fillId="33" borderId="0" xfId="0" applyNumberFormat="1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6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 indent="1"/>
      <protection/>
    </xf>
    <xf numFmtId="0" fontId="57" fillId="33" borderId="0" xfId="0" applyFont="1" applyFill="1" applyBorder="1" applyAlignment="1" applyProtection="1">
      <alignment horizontal="right" indent="1"/>
      <protection/>
    </xf>
    <xf numFmtId="14" fontId="57" fillId="33" borderId="0" xfId="0" applyNumberFormat="1" applyFont="1" applyFill="1" applyBorder="1" applyAlignment="1" applyProtection="1">
      <alignment horizontal="left" indent="1"/>
      <protection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Border="1" applyAlignment="1" applyProtection="1">
      <alignment horizontal="right" indent="3"/>
      <protection/>
    </xf>
    <xf numFmtId="0" fontId="26" fillId="33" borderId="0" xfId="0" applyFont="1" applyFill="1" applyBorder="1" applyAlignment="1" applyProtection="1">
      <alignment/>
      <protection/>
    </xf>
    <xf numFmtId="14" fontId="26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14" fontId="38" fillId="33" borderId="0" xfId="0" applyNumberFormat="1" applyFont="1" applyFill="1" applyBorder="1" applyAlignment="1" applyProtection="1">
      <alignment horizontal="center"/>
      <protection/>
    </xf>
    <xf numFmtId="15" fontId="38" fillId="33" borderId="0" xfId="0" applyNumberFormat="1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2" fontId="26" fillId="33" borderId="0" xfId="0" applyNumberFormat="1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horizontal="left"/>
      <protection/>
    </xf>
    <xf numFmtId="0" fontId="59" fillId="33" borderId="10" xfId="0" applyFont="1" applyFill="1" applyBorder="1" applyAlignment="1" applyProtection="1">
      <alignment horizontal="left" indent="1"/>
      <protection/>
    </xf>
    <xf numFmtId="0" fontId="0" fillId="33" borderId="0" xfId="0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horizontal="center"/>
      <protection/>
    </xf>
    <xf numFmtId="44" fontId="20" fillId="33" borderId="0" xfId="44" applyFont="1" applyFill="1" applyBorder="1" applyAlignment="1" applyProtection="1">
      <alignment horizontal="center"/>
      <protection/>
    </xf>
    <xf numFmtId="0" fontId="60" fillId="33" borderId="0" xfId="0" applyFont="1" applyFill="1" applyBorder="1" applyAlignment="1" applyProtection="1">
      <alignment horizontal="center"/>
      <protection/>
    </xf>
    <xf numFmtId="44" fontId="28" fillId="33" borderId="0" xfId="44" applyFont="1" applyFill="1" applyBorder="1" applyAlignment="1" applyProtection="1">
      <alignment horizontal="left" indent="1"/>
      <protection/>
    </xf>
    <xf numFmtId="14" fontId="55" fillId="33" borderId="0" xfId="0" applyNumberFormat="1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center"/>
      <protection/>
    </xf>
    <xf numFmtId="165" fontId="26" fillId="33" borderId="0" xfId="0" applyNumberFormat="1" applyFont="1" applyFill="1" applyBorder="1" applyAlignment="1" applyProtection="1">
      <alignment/>
      <protection/>
    </xf>
    <xf numFmtId="8" fontId="26" fillId="33" borderId="0" xfId="0" applyNumberFormat="1" applyFont="1" applyFill="1" applyBorder="1" applyAlignment="1" applyProtection="1">
      <alignment/>
      <protection/>
    </xf>
    <xf numFmtId="14" fontId="61" fillId="33" borderId="0" xfId="0" applyNumberFormat="1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vertical="center"/>
      <protection/>
    </xf>
    <xf numFmtId="14" fontId="26" fillId="33" borderId="0" xfId="0" applyNumberFormat="1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1" fillId="33" borderId="11" xfId="0" applyFont="1" applyFill="1" applyBorder="1" applyAlignment="1" applyProtection="1">
      <alignment horizontal="left"/>
      <protection/>
    </xf>
    <xf numFmtId="0" fontId="55" fillId="33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0" fillId="33" borderId="12" xfId="0" applyFont="1" applyFill="1" applyBorder="1" applyAlignment="1" applyProtection="1">
      <alignment horizontal="left" vertical="center"/>
      <protection/>
    </xf>
    <xf numFmtId="0" fontId="62" fillId="0" borderId="0" xfId="0" applyFont="1" applyAlignment="1">
      <alignment/>
    </xf>
    <xf numFmtId="0" fontId="63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Alignment="1" applyProtection="1">
      <alignment/>
      <protection/>
    </xf>
    <xf numFmtId="15" fontId="26" fillId="33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8" fontId="26" fillId="33" borderId="0" xfId="0" applyNumberFormat="1" applyFont="1" applyFill="1" applyBorder="1" applyAlignment="1" applyProtection="1">
      <alignment/>
      <protection/>
    </xf>
    <xf numFmtId="165" fontId="26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>
      <alignment/>
    </xf>
    <xf numFmtId="165" fontId="26" fillId="33" borderId="0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22" fontId="55" fillId="33" borderId="0" xfId="0" applyNumberFormat="1" applyFont="1" applyFill="1" applyAlignment="1" applyProtection="1">
      <alignment/>
      <protection/>
    </xf>
    <xf numFmtId="164" fontId="59" fillId="34" borderId="13" xfId="0" applyNumberFormat="1" applyFont="1" applyFill="1" applyBorder="1" applyAlignment="1" applyProtection="1">
      <alignment horizontal="center" vertical="center"/>
      <protection locked="0"/>
    </xf>
    <xf numFmtId="1" fontId="59" fillId="34" borderId="13" xfId="0" applyNumberFormat="1" applyFont="1" applyFill="1" applyBorder="1" applyAlignment="1" applyProtection="1">
      <alignment horizontal="center" vertical="center"/>
      <protection locked="0"/>
    </xf>
    <xf numFmtId="14" fontId="20" fillId="34" borderId="13" xfId="0" applyNumberFormat="1" applyFont="1" applyFill="1" applyBorder="1" applyAlignment="1" applyProtection="1">
      <alignment horizontal="center" vertical="center"/>
      <protection locked="0"/>
    </xf>
    <xf numFmtId="16" fontId="20" fillId="34" borderId="13" xfId="0" applyNumberFormat="1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horizontal="right" vertical="center" indent="3"/>
      <protection/>
    </xf>
    <xf numFmtId="0" fontId="59" fillId="33" borderId="0" xfId="0" applyFont="1" applyFill="1" applyBorder="1" applyAlignment="1" applyProtection="1">
      <alignment vertical="center"/>
      <protection/>
    </xf>
    <xf numFmtId="14" fontId="26" fillId="33" borderId="0" xfId="0" applyNumberFormat="1" applyFont="1" applyFill="1" applyBorder="1" applyAlignment="1">
      <alignment/>
    </xf>
    <xf numFmtId="14" fontId="26" fillId="33" borderId="0" xfId="0" applyNumberFormat="1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29" fillId="33" borderId="0" xfId="0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5" fontId="26" fillId="33" borderId="0" xfId="0" applyNumberFormat="1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center"/>
      <protection/>
    </xf>
    <xf numFmtId="1" fontId="26" fillId="33" borderId="0" xfId="0" applyNumberFormat="1" applyFont="1" applyFill="1" applyBorder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165" fontId="28" fillId="33" borderId="0" xfId="44" applyNumberFormat="1" applyFont="1" applyFill="1" applyBorder="1" applyAlignment="1" applyProtection="1">
      <alignment horizontal="right" indent="1"/>
      <protection/>
    </xf>
    <xf numFmtId="165" fontId="20" fillId="33" borderId="12" xfId="44" applyNumberFormat="1" applyFont="1" applyFill="1" applyBorder="1" applyAlignment="1" applyProtection="1">
      <alignment horizontal="right" vertical="center" indent="1"/>
      <protection/>
    </xf>
    <xf numFmtId="165" fontId="55" fillId="33" borderId="0" xfId="0" applyNumberFormat="1" applyFont="1" applyFill="1" applyAlignment="1" applyProtection="1">
      <alignment horizontal="right" indent="1"/>
      <protection/>
    </xf>
    <xf numFmtId="165" fontId="31" fillId="33" borderId="11" xfId="44" applyNumberFormat="1" applyFont="1" applyFill="1" applyBorder="1" applyAlignment="1" applyProtection="1">
      <alignment horizontal="right" indent="1"/>
      <protection/>
    </xf>
    <xf numFmtId="0" fontId="26" fillId="33" borderId="0" xfId="0" applyFont="1" applyFill="1" applyAlignment="1" applyProtection="1">
      <alignment horizontal="left" vertical="center" wrapText="1"/>
      <protection/>
    </xf>
    <xf numFmtId="0" fontId="29" fillId="33" borderId="0" xfId="0" applyFont="1" applyFill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"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connectonline.asic.gov.au/" TargetMode="External" /><Relationship Id="rId3" Type="http://schemas.openxmlformats.org/officeDocument/2006/relationships/hyperlink" Target="http://www.edge.asic.gov.au/008/inquiryV001/start/inquiryDetails" TargetMode="External" /><Relationship Id="rId4" Type="http://schemas.openxmlformats.org/officeDocument/2006/relationships/hyperlink" Target="http://www.asic.gov.au/for-business/closing-your-company/reinstating-a-deregistered-company/applying-to-asic-for-reinstatemen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7</xdr:row>
      <xdr:rowOff>200025</xdr:rowOff>
    </xdr:from>
    <xdr:to>
      <xdr:col>9</xdr:col>
      <xdr:colOff>628650</xdr:colOff>
      <xdr:row>10</xdr:row>
      <xdr:rowOff>114300</xdr:rowOff>
    </xdr:to>
    <xdr:grpSp>
      <xdr:nvGrpSpPr>
        <xdr:cNvPr id="1" name="Group 10"/>
        <xdr:cNvGrpSpPr>
          <a:grpSpLocks/>
        </xdr:cNvGrpSpPr>
      </xdr:nvGrpSpPr>
      <xdr:grpSpPr>
        <a:xfrm>
          <a:off x="8791575" y="2638425"/>
          <a:ext cx="2533650" cy="695325"/>
          <a:chOff x="6286500" y="1402701"/>
          <a:chExt cx="4191000" cy="347382"/>
        </a:xfrm>
        <a:solidFill>
          <a:srgbClr val="FFFFFF"/>
        </a:solidFill>
      </xdr:grpSpPr>
      <xdr:sp>
        <xdr:nvSpPr>
          <xdr:cNvPr id="2" name="Rounded Rectangle 11"/>
          <xdr:cNvSpPr>
            <a:spLocks/>
          </xdr:cNvSpPr>
        </xdr:nvSpPr>
        <xdr:spPr>
          <a:xfrm>
            <a:off x="6286500" y="1402701"/>
            <a:ext cx="4191000" cy="34738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12"/>
          <xdr:cNvSpPr txBox="1">
            <a:spLocks noChangeArrowheads="1"/>
          </xdr:cNvSpPr>
        </xdr:nvSpPr>
        <xdr:spPr>
          <a:xfrm>
            <a:off x="6333649" y="1426497"/>
            <a:ext cx="4143851" cy="3093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Select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the company type - Proprietary,  Public, Special Purpose -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Proprietary or Special Purpose - Public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</a:p>
        </xdr:txBody>
      </xdr:sp>
    </xdr:grpSp>
    <xdr:clientData/>
  </xdr:twoCellAnchor>
  <xdr:twoCellAnchor>
    <xdr:from>
      <xdr:col>4</xdr:col>
      <xdr:colOff>247650</xdr:colOff>
      <xdr:row>27</xdr:row>
      <xdr:rowOff>38100</xdr:rowOff>
    </xdr:from>
    <xdr:to>
      <xdr:col>5</xdr:col>
      <xdr:colOff>409575</xdr:colOff>
      <xdr:row>38</xdr:row>
      <xdr:rowOff>57150</xdr:rowOff>
    </xdr:to>
    <xdr:grpSp>
      <xdr:nvGrpSpPr>
        <xdr:cNvPr id="4" name="Group 28"/>
        <xdr:cNvGrpSpPr>
          <a:grpSpLocks/>
        </xdr:cNvGrpSpPr>
      </xdr:nvGrpSpPr>
      <xdr:grpSpPr>
        <a:xfrm>
          <a:off x="5305425" y="6076950"/>
          <a:ext cx="2009775" cy="2457450"/>
          <a:chOff x="6286500" y="1411943"/>
          <a:chExt cx="4191843" cy="347382"/>
        </a:xfrm>
        <a:solidFill>
          <a:srgbClr val="FFFFFF"/>
        </a:solidFill>
      </xdr:grpSpPr>
      <xdr:sp>
        <xdr:nvSpPr>
          <xdr:cNvPr id="5" name="Rounded Rectangle 29"/>
          <xdr:cNvSpPr>
            <a:spLocks/>
          </xdr:cNvSpPr>
        </xdr:nvSpPr>
        <xdr:spPr>
          <a:xfrm>
            <a:off x="6286500" y="1411943"/>
            <a:ext cx="4191843" cy="34738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Box 30"/>
          <xdr:cNvSpPr txBox="1">
            <a:spLocks noChangeArrowheads="1"/>
          </xdr:cNvSpPr>
        </xdr:nvSpPr>
        <xdr:spPr>
          <a:xfrm>
            <a:off x="6445790" y="1422712"/>
            <a:ext cx="4032553" cy="33253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figure provided is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indicative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only and does not include amounts owing at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time of deregistration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detailed estimate will provide the total amount payable.</a:t>
            </a:r>
          </a:p>
        </xdr:txBody>
      </xdr:sp>
    </xdr:grpSp>
    <xdr:clientData/>
  </xdr:twoCellAnchor>
  <xdr:twoCellAnchor editAs="oneCell">
    <xdr:from>
      <xdr:col>0</xdr:col>
      <xdr:colOff>371475</xdr:colOff>
      <xdr:row>0</xdr:row>
      <xdr:rowOff>152400</xdr:rowOff>
    </xdr:from>
    <xdr:to>
      <xdr:col>4</xdr:col>
      <xdr:colOff>1047750</xdr:colOff>
      <xdr:row>1</xdr:row>
      <xdr:rowOff>28575</xdr:rowOff>
    </xdr:to>
    <xdr:pic>
      <xdr:nvPicPr>
        <xdr:cNvPr id="7" name="Picture 19" descr="C:\Users\stuart.campbell\Infuse\Home\Stuart.Campbell-infuseecm-8007\Objects\logo and coat of arm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2400"/>
          <a:ext cx="5734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33</xdr:row>
      <xdr:rowOff>28575</xdr:rowOff>
    </xdr:from>
    <xdr:to>
      <xdr:col>4</xdr:col>
      <xdr:colOff>238125</xdr:colOff>
      <xdr:row>34</xdr:row>
      <xdr:rowOff>209550</xdr:rowOff>
    </xdr:to>
    <xdr:sp>
      <xdr:nvSpPr>
        <xdr:cNvPr id="8" name="Straight Arrow Connector 21"/>
        <xdr:cNvSpPr>
          <a:spLocks/>
        </xdr:cNvSpPr>
      </xdr:nvSpPr>
      <xdr:spPr>
        <a:xfrm flipH="1">
          <a:off x="4419600" y="7305675"/>
          <a:ext cx="876300" cy="371475"/>
        </a:xfrm>
        <a:prstGeom prst="straightConnector1">
          <a:avLst/>
        </a:prstGeom>
        <a:noFill/>
        <a:ln w="1905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12</xdr:row>
      <xdr:rowOff>85725</xdr:rowOff>
    </xdr:from>
    <xdr:to>
      <xdr:col>4</xdr:col>
      <xdr:colOff>247650</xdr:colOff>
      <xdr:row>32</xdr:row>
      <xdr:rowOff>180975</xdr:rowOff>
    </xdr:to>
    <xdr:sp>
      <xdr:nvSpPr>
        <xdr:cNvPr id="9" name="Right Brace 6"/>
        <xdr:cNvSpPr>
          <a:spLocks/>
        </xdr:cNvSpPr>
      </xdr:nvSpPr>
      <xdr:spPr>
        <a:xfrm>
          <a:off x="4667250" y="3724275"/>
          <a:ext cx="638175" cy="3495675"/>
        </a:xfrm>
        <a:prstGeom prst="rightBrace">
          <a:avLst>
            <a:gd name="adj1" fmla="val -48384"/>
            <a:gd name="adj2" fmla="val -203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114300</xdr:rowOff>
    </xdr:from>
    <xdr:to>
      <xdr:col>5</xdr:col>
      <xdr:colOff>704850</xdr:colOff>
      <xdr:row>25</xdr:row>
      <xdr:rowOff>38100</xdr:rowOff>
    </xdr:to>
    <xdr:grpSp>
      <xdr:nvGrpSpPr>
        <xdr:cNvPr id="10" name="Group 27"/>
        <xdr:cNvGrpSpPr>
          <a:grpSpLocks/>
        </xdr:cNvGrpSpPr>
      </xdr:nvGrpSpPr>
      <xdr:grpSpPr>
        <a:xfrm>
          <a:off x="5429250" y="4953000"/>
          <a:ext cx="2181225" cy="723900"/>
          <a:chOff x="6286500" y="1411943"/>
          <a:chExt cx="4191000" cy="347382"/>
        </a:xfrm>
        <a:solidFill>
          <a:srgbClr val="FFFFFF"/>
        </a:solidFill>
      </xdr:grpSpPr>
      <xdr:sp>
        <xdr:nvSpPr>
          <xdr:cNvPr id="11" name="Rounded Rectangle 31"/>
          <xdr:cNvSpPr>
            <a:spLocks/>
          </xdr:cNvSpPr>
        </xdr:nvSpPr>
        <xdr:spPr>
          <a:xfrm>
            <a:off x="6286500" y="1411943"/>
            <a:ext cx="4191000" cy="34738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Box 32"/>
          <xdr:cNvSpPr txBox="1">
            <a:spLocks noChangeArrowheads="1"/>
          </xdr:cNvSpPr>
        </xdr:nvSpPr>
        <xdr:spPr>
          <a:xfrm>
            <a:off x="6359843" y="1430267"/>
            <a:ext cx="4026503" cy="3154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These are the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review fees that would have been payable if the company remained registered.</a:t>
            </a:r>
          </a:p>
        </xdr:txBody>
      </xdr:sp>
    </xdr:grpSp>
    <xdr:clientData/>
  </xdr:twoCellAnchor>
  <xdr:twoCellAnchor>
    <xdr:from>
      <xdr:col>10</xdr:col>
      <xdr:colOff>28575</xdr:colOff>
      <xdr:row>3</xdr:row>
      <xdr:rowOff>152400</xdr:rowOff>
    </xdr:from>
    <xdr:to>
      <xdr:col>10</xdr:col>
      <xdr:colOff>581025</xdr:colOff>
      <xdr:row>9</xdr:row>
      <xdr:rowOff>19050</xdr:rowOff>
    </xdr:to>
    <xdr:sp>
      <xdr:nvSpPr>
        <xdr:cNvPr id="13" name="Right Brace 34"/>
        <xdr:cNvSpPr>
          <a:spLocks/>
        </xdr:cNvSpPr>
      </xdr:nvSpPr>
      <xdr:spPr>
        <a:xfrm>
          <a:off x="11449050" y="1628775"/>
          <a:ext cx="552450" cy="1285875"/>
        </a:xfrm>
        <a:prstGeom prst="rightBrace">
          <a:avLst>
            <a:gd name="adj1" fmla="val -46407"/>
            <a:gd name="adj2" fmla="val 151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657225</xdr:colOff>
      <xdr:row>4</xdr:row>
      <xdr:rowOff>142875</xdr:rowOff>
    </xdr:from>
    <xdr:to>
      <xdr:col>13</xdr:col>
      <xdr:colOff>19050</xdr:colOff>
      <xdr:row>8</xdr:row>
      <xdr:rowOff>171450</xdr:rowOff>
    </xdr:to>
    <xdr:grpSp>
      <xdr:nvGrpSpPr>
        <xdr:cNvPr id="14" name="Group 35"/>
        <xdr:cNvGrpSpPr>
          <a:grpSpLocks/>
        </xdr:cNvGrpSpPr>
      </xdr:nvGrpSpPr>
      <xdr:grpSpPr>
        <a:xfrm>
          <a:off x="12077700" y="1866900"/>
          <a:ext cx="1924050" cy="1019175"/>
          <a:chOff x="6286500" y="1411943"/>
          <a:chExt cx="4191000" cy="347382"/>
        </a:xfrm>
        <a:solidFill>
          <a:srgbClr val="FFFFFF"/>
        </a:solidFill>
      </xdr:grpSpPr>
      <xdr:sp>
        <xdr:nvSpPr>
          <xdr:cNvPr id="15" name="Rounded Rectangle 36"/>
          <xdr:cNvSpPr>
            <a:spLocks/>
          </xdr:cNvSpPr>
        </xdr:nvSpPr>
        <xdr:spPr>
          <a:xfrm>
            <a:off x="6286500" y="1411943"/>
            <a:ext cx="4191000" cy="34738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Box 37">
            <a:hlinkClick r:id="rId2"/>
          </xdr:cNvPr>
          <xdr:cNvSpPr txBox="1">
            <a:spLocks noChangeArrowheads="1"/>
          </xdr:cNvSpPr>
        </xdr:nvSpPr>
        <xdr:spPr>
          <a:xfrm>
            <a:off x="6348317" y="1450937"/>
            <a:ext cx="4045363" cy="282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Unsure? Search the company  details on </a:t>
            </a:r>
            <a:r>
              <a:rPr lang="en-US" cap="none" sz="1100" b="0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ASIC Connect Search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find this information.</a:t>
            </a:r>
          </a:p>
        </xdr:txBody>
      </xdr:sp>
    </xdr:grpSp>
    <xdr:clientData/>
  </xdr:twoCellAnchor>
  <xdr:twoCellAnchor>
    <xdr:from>
      <xdr:col>6</xdr:col>
      <xdr:colOff>552450</xdr:colOff>
      <xdr:row>0</xdr:row>
      <xdr:rowOff>762000</xdr:rowOff>
    </xdr:from>
    <xdr:to>
      <xdr:col>9</xdr:col>
      <xdr:colOff>619125</xdr:colOff>
      <xdr:row>6</xdr:row>
      <xdr:rowOff>200025</xdr:rowOff>
    </xdr:to>
    <xdr:grpSp>
      <xdr:nvGrpSpPr>
        <xdr:cNvPr id="17" name="Group 38"/>
        <xdr:cNvGrpSpPr>
          <a:grpSpLocks/>
        </xdr:cNvGrpSpPr>
      </xdr:nvGrpSpPr>
      <xdr:grpSpPr>
        <a:xfrm>
          <a:off x="8896350" y="762000"/>
          <a:ext cx="2419350" cy="1657350"/>
          <a:chOff x="3954583" y="937851"/>
          <a:chExt cx="6522917" cy="832681"/>
        </a:xfrm>
        <a:solidFill>
          <a:srgbClr val="FFFFFF"/>
        </a:solidFill>
      </xdr:grpSpPr>
      <xdr:sp>
        <xdr:nvSpPr>
          <xdr:cNvPr id="18" name="Rounded Rectangle 39"/>
          <xdr:cNvSpPr>
            <a:spLocks/>
          </xdr:cNvSpPr>
        </xdr:nvSpPr>
        <xdr:spPr>
          <a:xfrm>
            <a:off x="3954583" y="937851"/>
            <a:ext cx="6522917" cy="832681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Box 40"/>
          <xdr:cNvSpPr txBox="1">
            <a:spLocks noChangeArrowheads="1"/>
          </xdr:cNvSpPr>
        </xdr:nvSpPr>
        <xdr:spPr>
          <a:xfrm>
            <a:off x="4288882" y="971366"/>
            <a:ext cx="5983146" cy="7608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Enter the year the company was deregistered.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 a more accurate estimate, enter the full date of deregistration and review date.</a:t>
            </a:r>
          </a:p>
        </xdr:txBody>
      </xdr:sp>
    </xdr:grpSp>
    <xdr:clientData/>
  </xdr:twoCellAnchor>
  <xdr:twoCellAnchor>
    <xdr:from>
      <xdr:col>3</xdr:col>
      <xdr:colOff>171450</xdr:colOff>
      <xdr:row>7</xdr:row>
      <xdr:rowOff>161925</xdr:rowOff>
    </xdr:from>
    <xdr:to>
      <xdr:col>6</xdr:col>
      <xdr:colOff>438150</xdr:colOff>
      <xdr:row>9</xdr:row>
      <xdr:rowOff>95250</xdr:rowOff>
    </xdr:to>
    <xdr:sp>
      <xdr:nvSpPr>
        <xdr:cNvPr id="20" name="Elbow Connector 26"/>
        <xdr:cNvSpPr>
          <a:spLocks/>
        </xdr:cNvSpPr>
      </xdr:nvSpPr>
      <xdr:spPr>
        <a:xfrm rot="10800000">
          <a:off x="4514850" y="2600325"/>
          <a:ext cx="4267200" cy="390525"/>
        </a:xfrm>
        <a:prstGeom prst="bentConnector3">
          <a:avLst>
            <a:gd name="adj" fmla="val 49777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57150</xdr:rowOff>
    </xdr:from>
    <xdr:to>
      <xdr:col>8</xdr:col>
      <xdr:colOff>847725</xdr:colOff>
      <xdr:row>38</xdr:row>
      <xdr:rowOff>9525</xdr:rowOff>
    </xdr:to>
    <xdr:grpSp>
      <xdr:nvGrpSpPr>
        <xdr:cNvPr id="21" name="Group 1"/>
        <xdr:cNvGrpSpPr>
          <a:grpSpLocks/>
        </xdr:cNvGrpSpPr>
      </xdr:nvGrpSpPr>
      <xdr:grpSpPr>
        <a:xfrm>
          <a:off x="8362950" y="5895975"/>
          <a:ext cx="2219325" cy="2590800"/>
          <a:chOff x="224252" y="7699101"/>
          <a:chExt cx="2219757" cy="1940200"/>
        </a:xfrm>
        <a:solidFill>
          <a:srgbClr val="FFFFFF"/>
        </a:solidFill>
      </xdr:grpSpPr>
      <xdr:grpSp>
        <xdr:nvGrpSpPr>
          <xdr:cNvPr id="22" name="Group 74"/>
          <xdr:cNvGrpSpPr>
            <a:grpSpLocks/>
          </xdr:cNvGrpSpPr>
        </xdr:nvGrpSpPr>
        <xdr:grpSpPr>
          <a:xfrm>
            <a:off x="224252" y="7699101"/>
            <a:ext cx="2219757" cy="1940200"/>
            <a:chOff x="6000835" y="1384353"/>
            <a:chExt cx="4191000" cy="936663"/>
          </a:xfrm>
          <a:solidFill>
            <a:srgbClr val="FFFFFF"/>
          </a:solidFill>
        </xdr:grpSpPr>
        <xdr:sp>
          <xdr:nvSpPr>
            <xdr:cNvPr id="23" name="Rounded Rectangle 75"/>
            <xdr:cNvSpPr>
              <a:spLocks/>
            </xdr:cNvSpPr>
          </xdr:nvSpPr>
          <xdr:spPr>
            <a:xfrm>
              <a:off x="6000835" y="1384353"/>
              <a:ext cx="4191000" cy="936663"/>
            </a:xfrm>
            <a:prstGeom prst="roundRect">
              <a:avLst/>
            </a:prstGeom>
            <a:solidFill>
              <a:srgbClr val="FFFFFF"/>
            </a:solidFill>
            <a:ln w="2540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TextBox 76">
              <a:hlinkClick r:id="rId3"/>
            </xdr:cNvPr>
            <xdr:cNvSpPr txBox="1">
              <a:spLocks noChangeArrowheads="1"/>
            </xdr:cNvSpPr>
          </xdr:nvSpPr>
          <xdr:spPr>
            <a:xfrm>
              <a:off x="6360213" y="1429079"/>
              <a:ext cx="3615785" cy="7092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Next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steps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Submit a request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for a detailed</a:t>
              </a:r>
              <a:r>
                <a:rPr lang="en-US" cap="none" sz="1100" b="0" i="0" u="sng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sng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estimate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. You will need to provide your company name and ACN...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OR</a:t>
              </a:r>
            </a:p>
          </xdr:txBody>
        </xdr:sp>
      </xdr:grpSp>
      <xdr:sp>
        <xdr:nvSpPr>
          <xdr:cNvPr id="25" name="TextBox 33">
            <a:hlinkClick r:id="rId4"/>
          </xdr:cNvPr>
          <xdr:cNvSpPr txBox="1">
            <a:spLocks noChangeArrowheads="1"/>
          </xdr:cNvSpPr>
        </xdr:nvSpPr>
        <xdr:spPr>
          <a:xfrm>
            <a:off x="424585" y="8997095"/>
            <a:ext cx="1924529" cy="549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Return to </a:t>
            </a:r>
            <a:r>
              <a:rPr lang="en-US" cap="none" sz="1100" b="0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Apply to ASIC for reinstatement</a:t>
            </a:r>
            <a:r>
              <a:rPr lang="en-US" cap="none" sz="11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website page. </a:t>
            </a:r>
          </a:p>
        </xdr:txBody>
      </xdr:sp>
    </xdr:grpSp>
    <xdr:clientData/>
  </xdr:twoCellAnchor>
  <xdr:twoCellAnchor>
    <xdr:from>
      <xdr:col>6</xdr:col>
      <xdr:colOff>85725</xdr:colOff>
      <xdr:row>3</xdr:row>
      <xdr:rowOff>114300</xdr:rowOff>
    </xdr:from>
    <xdr:to>
      <xdr:col>6</xdr:col>
      <xdr:colOff>542925</xdr:colOff>
      <xdr:row>4</xdr:row>
      <xdr:rowOff>0</xdr:rowOff>
    </xdr:to>
    <xdr:sp>
      <xdr:nvSpPr>
        <xdr:cNvPr id="26" name="Elbow Connector 26"/>
        <xdr:cNvSpPr>
          <a:spLocks/>
        </xdr:cNvSpPr>
      </xdr:nvSpPr>
      <xdr:spPr>
        <a:xfrm rot="10800000" flipV="1">
          <a:off x="8429625" y="1590675"/>
          <a:ext cx="457200" cy="133350"/>
        </a:xfrm>
        <a:prstGeom prst="bentConnector3">
          <a:avLst>
            <a:gd name="adj" fmla="val 47916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X8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7109375" style="9" customWidth="1"/>
    <col min="2" max="2" width="24.421875" style="9" customWidth="1"/>
    <col min="3" max="3" width="35.00390625" style="9" bestFit="1" customWidth="1"/>
    <col min="4" max="4" width="10.7109375" style="9" customWidth="1"/>
    <col min="5" max="5" width="27.7109375" style="9" customWidth="1"/>
    <col min="6" max="6" width="21.57421875" style="9" customWidth="1"/>
    <col min="7" max="7" width="11.00390625" style="45" customWidth="1"/>
    <col min="8" max="8" width="9.8515625" style="4" customWidth="1"/>
    <col min="9" max="9" width="14.421875" style="4" customWidth="1"/>
    <col min="10" max="10" width="10.8515625" style="4" customWidth="1"/>
    <col min="11" max="11" width="13.421875" style="4" customWidth="1"/>
    <col min="12" max="12" width="13.00390625" style="4" customWidth="1"/>
    <col min="13" max="13" width="12.00390625" style="4" customWidth="1"/>
    <col min="14" max="14" width="9.421875" style="4" customWidth="1"/>
    <col min="15" max="15" width="6.28125" style="4" hidden="1" customWidth="1"/>
    <col min="16" max="16" width="10.140625" style="4" hidden="1" customWidth="1"/>
    <col min="17" max="17" width="6.140625" style="4" hidden="1" customWidth="1"/>
    <col min="18" max="18" width="8.421875" style="4" hidden="1" customWidth="1"/>
    <col min="19" max="19" width="9.28125" style="4" hidden="1" customWidth="1"/>
    <col min="20" max="20" width="10.7109375" style="4" hidden="1" customWidth="1"/>
    <col min="21" max="21" width="11.7109375" style="4" hidden="1" customWidth="1"/>
    <col min="22" max="22" width="13.00390625" style="4" hidden="1" customWidth="1"/>
    <col min="23" max="23" width="13.28125" style="4" hidden="1" customWidth="1"/>
    <col min="24" max="24" width="14.140625" style="4" hidden="1" customWidth="1"/>
    <col min="25" max="25" width="12.00390625" style="7" hidden="1" customWidth="1"/>
    <col min="26" max="26" width="11.421875" style="7" hidden="1" customWidth="1"/>
    <col min="27" max="27" width="12.57421875" style="9" hidden="1" customWidth="1"/>
    <col min="28" max="28" width="12.00390625" style="9" hidden="1" customWidth="1"/>
    <col min="29" max="29" width="10.28125" style="9" hidden="1" customWidth="1"/>
    <col min="30" max="16384" width="9.140625" style="9" customWidth="1"/>
  </cols>
  <sheetData>
    <row r="1" spans="1:50" ht="80.25" customHeight="1">
      <c r="A1" s="2"/>
      <c r="B1" s="2"/>
      <c r="C1" s="2"/>
      <c r="D1" s="2"/>
      <c r="E1" s="2"/>
      <c r="F1" s="2"/>
      <c r="G1" s="3"/>
      <c r="X1" s="5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6.25">
      <c r="A2" s="2"/>
      <c r="B2" s="10" t="s">
        <v>20</v>
      </c>
      <c r="C2" s="11"/>
      <c r="D2" s="12"/>
      <c r="E2" s="13"/>
      <c r="F2" s="2"/>
      <c r="G2" s="3"/>
      <c r="H2" s="6"/>
      <c r="X2" s="5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9.75" customHeight="1">
      <c r="A3" s="2"/>
      <c r="B3" s="14"/>
      <c r="C3" s="2"/>
      <c r="D3" s="2"/>
      <c r="E3" s="2"/>
      <c r="F3" s="2"/>
      <c r="G3" s="3"/>
      <c r="H3" s="6"/>
      <c r="X3" s="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9.5" customHeight="1">
      <c r="A4" s="2"/>
      <c r="B4" s="70" t="s">
        <v>23</v>
      </c>
      <c r="C4" s="65"/>
      <c r="E4" s="56" t="s">
        <v>26</v>
      </c>
      <c r="F4" s="66"/>
      <c r="G4" s="4"/>
      <c r="H4" s="6"/>
      <c r="X4" s="5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9.5" customHeight="1">
      <c r="A5" s="2"/>
      <c r="C5" s="8"/>
      <c r="D5" s="55" t="s">
        <v>25</v>
      </c>
      <c r="E5" s="68" t="s">
        <v>27</v>
      </c>
      <c r="F5" s="67"/>
      <c r="G5" s="4"/>
      <c r="H5" s="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8"/>
      <c r="Z5" s="1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9.5" customHeight="1">
      <c r="A6" s="2"/>
      <c r="B6" s="8"/>
      <c r="C6" s="8"/>
      <c r="D6" s="53"/>
      <c r="E6" s="50"/>
      <c r="F6" s="54"/>
      <c r="G6" s="4"/>
      <c r="H6" s="6"/>
      <c r="I6" s="19"/>
      <c r="J6" s="19"/>
      <c r="K6" s="19"/>
      <c r="L6" s="20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8"/>
      <c r="Z6" s="1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7.25" customHeight="1">
      <c r="A7" s="2"/>
      <c r="B7" s="8"/>
      <c r="C7" s="8"/>
      <c r="D7" s="2"/>
      <c r="F7" s="8"/>
      <c r="G7" s="4"/>
      <c r="H7" s="6"/>
      <c r="I7" s="19"/>
      <c r="J7" s="19"/>
      <c r="K7" s="19"/>
      <c r="L7" s="2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18"/>
      <c r="Z7" s="1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1.75" customHeight="1">
      <c r="A8" s="2"/>
      <c r="B8" s="69" t="s">
        <v>24</v>
      </c>
      <c r="C8" s="64"/>
      <c r="D8" s="2"/>
      <c r="E8" s="2"/>
      <c r="G8" s="4"/>
      <c r="H8" s="6"/>
      <c r="I8" s="19"/>
      <c r="J8" s="19"/>
      <c r="K8" s="19"/>
      <c r="L8" s="20"/>
      <c r="M8" s="16"/>
      <c r="N8" s="16"/>
      <c r="O8" s="18">
        <f>IF(FullDate="",Year,IF(RevDate="",Year,IF(MONTH(FullDate)&gt;MONTH(RevDate),YEAR(FullDate)+1,IF(MONTH(FullDate)&lt;MONTH(RevDate),YEAR(FullDate),IF(DAY(FullDate)&gt;=DAY(RevDate),YEAR(FullDate)+1,YEAR(FullDate))))))</f>
        <v>0</v>
      </c>
      <c r="P8" s="16"/>
      <c r="Q8" s="16"/>
      <c r="R8" s="16"/>
      <c r="S8" s="16"/>
      <c r="T8" s="16"/>
      <c r="U8" s="16"/>
      <c r="V8" s="16"/>
      <c r="W8" s="16"/>
      <c r="X8" s="17"/>
      <c r="Y8" s="18"/>
      <c r="Z8" s="1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49" ht="14.25" customHeight="1">
      <c r="A9" s="2"/>
      <c r="B9" s="15"/>
      <c r="C9" s="2"/>
      <c r="D9" s="2"/>
      <c r="E9" s="2"/>
      <c r="F9" s="73"/>
      <c r="G9" s="6"/>
      <c r="H9" s="19"/>
      <c r="I9" s="19"/>
      <c r="J9" s="19"/>
      <c r="K9" s="2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6"/>
      <c r="Y9" s="1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0" ht="25.5" customHeight="1">
      <c r="A10" s="2"/>
      <c r="B10" s="21" t="s">
        <v>18</v>
      </c>
      <c r="C10" s="1">
        <v>40</v>
      </c>
      <c r="D10" s="22"/>
      <c r="E10" s="22"/>
      <c r="F10" s="18"/>
      <c r="G10" s="4"/>
      <c r="H10" s="6"/>
      <c r="I10" s="16"/>
      <c r="J10" s="16"/>
      <c r="K10" s="16"/>
      <c r="L10" s="16"/>
      <c r="M10" s="16"/>
      <c r="N10" s="16"/>
      <c r="O10" s="16">
        <f ca="1">IF(FullDate="",YEAR(NOW()),IF(MONTH(RevDate)&gt;MONTH(NOW()),YEAR(NOW())-1,IF(MONTH(RevDate)&lt;MONTH(NOW()),YEAR(NOW()),IF(DAY(RevDate)&gt;DAY(NOW()),YEAR(NOW())-1,YEAR(NOW())))))</f>
        <v>2018</v>
      </c>
      <c r="P10" s="16"/>
      <c r="Q10" s="16">
        <v>19</v>
      </c>
      <c r="R10" s="23"/>
      <c r="S10" s="16"/>
      <c r="T10" s="16"/>
      <c r="U10" s="16"/>
      <c r="V10" s="16"/>
      <c r="W10" s="16"/>
      <c r="X10" s="17"/>
      <c r="Y10" s="18"/>
      <c r="Z10" s="18"/>
      <c r="AA10" s="18"/>
      <c r="AB10" s="18"/>
      <c r="AC10" s="1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4.25" customHeight="1">
      <c r="A11" s="2"/>
      <c r="B11" s="3"/>
      <c r="C11" s="3"/>
      <c r="D11" s="3"/>
      <c r="E11" s="3"/>
      <c r="F11" s="63"/>
      <c r="G11" s="4"/>
      <c r="H11" s="6"/>
      <c r="I11" s="16"/>
      <c r="J11" s="16"/>
      <c r="K11" s="16"/>
      <c r="L11" s="16"/>
      <c r="M11" s="16"/>
      <c r="N11" s="16"/>
      <c r="O11" s="16"/>
      <c r="P11" s="33"/>
      <c r="Q11" s="16"/>
      <c r="R11" s="16"/>
      <c r="S11" s="16"/>
      <c r="T11" s="16"/>
      <c r="U11" s="16"/>
      <c r="V11" s="16"/>
      <c r="W11" s="16"/>
      <c r="X11" s="17"/>
      <c r="Y11" s="18"/>
      <c r="Z11" s="18"/>
      <c r="AA11" s="18"/>
      <c r="AB11" s="18"/>
      <c r="AC11" s="1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8.75">
      <c r="A12" s="2"/>
      <c r="B12" s="24" t="s">
        <v>21</v>
      </c>
      <c r="C12" s="25"/>
      <c r="D12" s="3"/>
      <c r="E12" s="26"/>
      <c r="F12" s="2"/>
      <c r="G12" s="4"/>
      <c r="H12" s="6"/>
      <c r="I12" s="32"/>
      <c r="J12" s="16"/>
      <c r="K12" s="16"/>
      <c r="L12" s="51"/>
      <c r="M12" s="16"/>
      <c r="N12" s="16"/>
      <c r="O12" s="16"/>
      <c r="P12" s="33"/>
      <c r="Q12" s="16"/>
      <c r="R12" s="16"/>
      <c r="S12" s="16"/>
      <c r="T12" s="16"/>
      <c r="U12" s="16"/>
      <c r="V12" s="16"/>
      <c r="W12" s="16"/>
      <c r="X12" s="17"/>
      <c r="Y12" s="18"/>
      <c r="Z12" s="18"/>
      <c r="AA12" s="18"/>
      <c r="AB12" s="18"/>
      <c r="AC12" s="1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 customHeight="1">
      <c r="A13" s="2"/>
      <c r="B13" s="27" t="s">
        <v>2</v>
      </c>
      <c r="C13" s="28" t="s">
        <v>3</v>
      </c>
      <c r="D13" s="3"/>
      <c r="E13" s="8"/>
      <c r="F13" s="2"/>
      <c r="G13" s="4"/>
      <c r="H13" s="6"/>
      <c r="I13" s="16"/>
      <c r="J13" s="16"/>
      <c r="K13" s="16"/>
      <c r="L13" s="16"/>
      <c r="M13" s="16"/>
      <c r="N13" s="16"/>
      <c r="O13" s="16"/>
      <c r="P13" s="33"/>
      <c r="Q13" s="16"/>
      <c r="R13" s="16"/>
      <c r="S13" s="86" t="s">
        <v>0</v>
      </c>
      <c r="T13" s="86"/>
      <c r="U13" s="86" t="s">
        <v>4</v>
      </c>
      <c r="V13" s="86"/>
      <c r="W13" s="86" t="s">
        <v>31</v>
      </c>
      <c r="X13" s="86"/>
      <c r="Y13" s="85" t="s">
        <v>30</v>
      </c>
      <c r="Z13" s="85"/>
      <c r="AA13" s="74" t="s">
        <v>28</v>
      </c>
      <c r="AB13" s="74" t="s">
        <v>29</v>
      </c>
      <c r="AC13" s="79" t="s">
        <v>32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.75" customHeight="1" hidden="1">
      <c r="A14" s="2"/>
      <c r="B14" s="48">
        <f>IF($C$4&lt;&gt;"",2000,"")</f>
      </c>
      <c r="C14" s="30">
        <f>IF($C$4="","",IF(B14&lt;$C$4,"",IF($C$8="Proprietary",T15,IF($C$8="Public",V15,IF(C8="Special Purpose",X15,"")))))</f>
      </c>
      <c r="D14" s="3"/>
      <c r="E14" s="31"/>
      <c r="F14" s="2"/>
      <c r="G14" s="4"/>
      <c r="H14" s="6"/>
      <c r="I14" s="49"/>
      <c r="J14" s="49"/>
      <c r="K14" s="49"/>
      <c r="L14" s="49"/>
      <c r="M14" s="49"/>
      <c r="N14" s="49"/>
      <c r="O14" s="32"/>
      <c r="P14" s="49" t="s">
        <v>1</v>
      </c>
      <c r="Q14" s="16">
        <v>1</v>
      </c>
      <c r="R14" s="33" t="s">
        <v>2</v>
      </c>
      <c r="S14" s="32" t="s">
        <v>5</v>
      </c>
      <c r="T14" s="32" t="s">
        <v>6</v>
      </c>
      <c r="U14" s="32" t="s">
        <v>5</v>
      </c>
      <c r="V14" s="32" t="s">
        <v>6</v>
      </c>
      <c r="W14" s="32" t="s">
        <v>5</v>
      </c>
      <c r="X14" s="32" t="s">
        <v>6</v>
      </c>
      <c r="Y14" s="18"/>
      <c r="Z14" s="18"/>
      <c r="AA14" s="18"/>
      <c r="AB14" s="18"/>
      <c r="AC14" s="1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.75" customHeight="1" hidden="1">
      <c r="A15" s="2"/>
      <c r="B15" s="48">
        <f>IF($C$4&lt;&gt;"",2001,"")</f>
      </c>
      <c r="C15" s="30">
        <f>IF($C$4="","",IF(B15&lt;$C$4,"",IF($C$8="Proprietary",T16,IF($C$8="Public",V16,IF(#REF!="Special Purpose",X16,"")))))</f>
      </c>
      <c r="D15" s="3"/>
      <c r="E15" s="31"/>
      <c r="F15" s="2"/>
      <c r="G15" s="4"/>
      <c r="H15" s="6"/>
      <c r="I15" s="16"/>
      <c r="J15" s="34"/>
      <c r="K15" s="34"/>
      <c r="L15" s="17"/>
      <c r="M15" s="17"/>
      <c r="N15" s="49"/>
      <c r="O15" s="16"/>
      <c r="P15" s="33" t="s">
        <v>7</v>
      </c>
      <c r="Q15" s="16">
        <v>2</v>
      </c>
      <c r="R15" s="16">
        <v>2000</v>
      </c>
      <c r="S15" s="34">
        <v>0</v>
      </c>
      <c r="T15" s="34">
        <v>0</v>
      </c>
      <c r="U15" s="34">
        <v>0</v>
      </c>
      <c r="V15" s="34">
        <v>0</v>
      </c>
      <c r="W15" s="35">
        <v>0</v>
      </c>
      <c r="X15" s="35">
        <v>0</v>
      </c>
      <c r="Y15" s="18"/>
      <c r="Z15" s="18"/>
      <c r="AA15" s="18"/>
      <c r="AB15" s="18"/>
      <c r="AC15" s="1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" customHeight="1" hidden="1">
      <c r="A16" s="2"/>
      <c r="B16" s="48">
        <f>IF($C$4&lt;&gt;"",2002,"")</f>
      </c>
      <c r="C16" s="30">
        <f>IF($C$4="","",IF(B16&lt;$C$4,"",IF($C$8="Proprietary",T17,IF($C$8="Public",V17,IF(C10="Special Purpose",X17,"")))))</f>
      </c>
      <c r="D16" s="3"/>
      <c r="E16" s="26"/>
      <c r="F16" s="8"/>
      <c r="G16" s="4"/>
      <c r="H16" s="6"/>
      <c r="I16" s="16"/>
      <c r="J16" s="34"/>
      <c r="K16" s="34"/>
      <c r="L16" s="17"/>
      <c r="M16" s="17"/>
      <c r="N16" s="32"/>
      <c r="O16" s="16"/>
      <c r="P16" s="33" t="s">
        <v>8</v>
      </c>
      <c r="Q16" s="16">
        <v>3</v>
      </c>
      <c r="R16" s="16">
        <v>2001</v>
      </c>
      <c r="S16" s="34">
        <v>0</v>
      </c>
      <c r="T16" s="34">
        <v>0</v>
      </c>
      <c r="U16" s="34">
        <v>0</v>
      </c>
      <c r="V16" s="34">
        <v>0</v>
      </c>
      <c r="W16" s="35">
        <v>0</v>
      </c>
      <c r="X16" s="35">
        <v>0</v>
      </c>
      <c r="Y16" s="18"/>
      <c r="Z16" s="18"/>
      <c r="AA16" s="18"/>
      <c r="AB16" s="18"/>
      <c r="AC16" s="1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.75" customHeight="1">
      <c r="A17" s="2"/>
      <c r="B17" s="29">
        <f>IF(FeesStart&lt;&gt;"",2003,"")</f>
        <v>2003</v>
      </c>
      <c r="C17" s="80">
        <f aca="true" t="shared" si="0" ref="C17:C32">IF(FeesStart=0,"",IF(OR(FeesEnd&lt;B17,B17&lt;FeesStart),"",AC18))</f>
      </c>
      <c r="D17" s="73"/>
      <c r="E17" s="26"/>
      <c r="F17" s="8"/>
      <c r="G17" s="4"/>
      <c r="H17" s="6"/>
      <c r="I17" s="16"/>
      <c r="J17" s="34"/>
      <c r="K17" s="34"/>
      <c r="L17" s="17"/>
      <c r="M17" s="17"/>
      <c r="N17" s="16"/>
      <c r="O17" s="16" t="s">
        <v>0</v>
      </c>
      <c r="P17" s="33" t="s">
        <v>9</v>
      </c>
      <c r="Q17" s="16">
        <v>4</v>
      </c>
      <c r="R17" s="59">
        <v>2002</v>
      </c>
      <c r="S17" s="58">
        <v>0</v>
      </c>
      <c r="T17" s="58">
        <v>0</v>
      </c>
      <c r="U17" s="58">
        <v>0</v>
      </c>
      <c r="V17" s="58">
        <v>0</v>
      </c>
      <c r="W17" s="57">
        <v>0</v>
      </c>
      <c r="X17" s="57">
        <v>0</v>
      </c>
      <c r="Y17" s="57">
        <v>0</v>
      </c>
      <c r="Z17" s="57">
        <v>0</v>
      </c>
      <c r="AA17" s="71">
        <v>37438</v>
      </c>
      <c r="AB17" s="71">
        <v>37802</v>
      </c>
      <c r="AC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.75" customHeight="1">
      <c r="A18" s="2"/>
      <c r="B18" s="29">
        <f>IF(FeesStart&lt;&gt;"",2004,"")</f>
        <v>2004</v>
      </c>
      <c r="C18" s="80">
        <f t="shared" si="0"/>
      </c>
      <c r="D18" s="73"/>
      <c r="E18" s="26"/>
      <c r="F18" s="8"/>
      <c r="G18" s="4"/>
      <c r="H18" s="6"/>
      <c r="I18" s="16"/>
      <c r="J18" s="34"/>
      <c r="K18" s="34"/>
      <c r="L18" s="17"/>
      <c r="M18" s="17"/>
      <c r="N18" s="16"/>
      <c r="O18" s="16" t="s">
        <v>4</v>
      </c>
      <c r="P18" s="33" t="s">
        <v>10</v>
      </c>
      <c r="Q18" s="16">
        <v>5</v>
      </c>
      <c r="R18" s="59">
        <v>2003</v>
      </c>
      <c r="S18" s="58">
        <v>0</v>
      </c>
      <c r="T18" s="58">
        <v>200</v>
      </c>
      <c r="U18" s="58">
        <v>0</v>
      </c>
      <c r="V18" s="58">
        <v>1000</v>
      </c>
      <c r="W18" s="57">
        <v>0</v>
      </c>
      <c r="X18" s="57">
        <v>40</v>
      </c>
      <c r="Y18" s="57">
        <v>0</v>
      </c>
      <c r="Z18" s="57">
        <v>40</v>
      </c>
      <c r="AA18" s="71">
        <v>37803</v>
      </c>
      <c r="AB18" s="71">
        <v>38167</v>
      </c>
      <c r="AC18" s="16" t="b">
        <f aca="true" t="shared" si="1" ref="AC18:AC33">IF(CompanyType="Proprietary",IF(AND(MONTH(RevDate)&lt;7,FullDate&lt;&gt;"",RevDate&lt;&gt;""),S18,T18),IF(CompanyType="Public",IF(AND(MONTH(RevDate)&lt;7,FullDate&lt;&gt;"",RevDate&lt;&gt;""),U18,V18),IF(CompanyType="Special Purpose - Proprietary",IF(AND(MONTH(RevDate)&lt;7,FullDate&lt;&gt;"",RevDate&lt;&gt;""),W18,X18),IF(CompanyType="Special Purpose - Public",IF(AND(MONTH(RevDate)&lt;7,FullDate&lt;&gt;"",RevDate&lt;&gt;""),Y18,Z18)))))</f>
        <v>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.75" customHeight="1">
      <c r="A19" s="2"/>
      <c r="B19" s="29">
        <f>IF(FeesStart&lt;&gt;"",2005,"")</f>
        <v>2005</v>
      </c>
      <c r="C19" s="80">
        <f t="shared" si="0"/>
      </c>
      <c r="D19" s="73"/>
      <c r="E19" s="31"/>
      <c r="F19" s="2"/>
      <c r="G19" s="4"/>
      <c r="H19" s="6"/>
      <c r="I19" s="16"/>
      <c r="J19" s="34"/>
      <c r="K19" s="34"/>
      <c r="L19" s="17"/>
      <c r="M19" s="17"/>
      <c r="N19" s="16"/>
      <c r="O19" s="16" t="s">
        <v>31</v>
      </c>
      <c r="P19" s="33" t="s">
        <v>11</v>
      </c>
      <c r="Q19" s="16">
        <v>6</v>
      </c>
      <c r="R19" s="59">
        <v>2004</v>
      </c>
      <c r="S19" s="58">
        <v>200</v>
      </c>
      <c r="T19" s="58">
        <v>212</v>
      </c>
      <c r="U19" s="58">
        <v>1000</v>
      </c>
      <c r="V19" s="58">
        <v>1000</v>
      </c>
      <c r="W19" s="57">
        <v>40</v>
      </c>
      <c r="X19" s="57">
        <v>40</v>
      </c>
      <c r="Y19" s="57">
        <v>40</v>
      </c>
      <c r="Z19" s="57">
        <v>40</v>
      </c>
      <c r="AA19" s="71">
        <v>38169</v>
      </c>
      <c r="AB19" s="71">
        <v>38533</v>
      </c>
      <c r="AC19" s="16" t="b">
        <f t="shared" si="1"/>
        <v>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.75" customHeight="1">
      <c r="A20" s="2"/>
      <c r="B20" s="29">
        <f>IF(FeesStart&lt;&gt;"",2006,"")</f>
        <v>2006</v>
      </c>
      <c r="C20" s="80">
        <f t="shared" si="0"/>
      </c>
      <c r="D20" s="73"/>
      <c r="E20" s="31"/>
      <c r="F20" s="2"/>
      <c r="G20" s="4"/>
      <c r="H20" s="6"/>
      <c r="I20" s="16"/>
      <c r="J20" s="34"/>
      <c r="K20" s="34"/>
      <c r="L20" s="17"/>
      <c r="M20" s="17"/>
      <c r="N20" s="16"/>
      <c r="O20" s="16" t="s">
        <v>30</v>
      </c>
      <c r="P20" s="33" t="s">
        <v>12</v>
      </c>
      <c r="Q20" s="16">
        <v>7</v>
      </c>
      <c r="R20" s="59">
        <v>2005</v>
      </c>
      <c r="S20" s="58">
        <v>212</v>
      </c>
      <c r="T20" s="58">
        <v>212</v>
      </c>
      <c r="U20" s="58">
        <v>1000</v>
      </c>
      <c r="V20" s="58">
        <v>1000</v>
      </c>
      <c r="W20" s="57">
        <v>40</v>
      </c>
      <c r="X20" s="57">
        <v>40</v>
      </c>
      <c r="Y20" s="57">
        <v>40</v>
      </c>
      <c r="Z20" s="57">
        <v>40</v>
      </c>
      <c r="AA20" s="71">
        <v>38534</v>
      </c>
      <c r="AB20" s="71">
        <v>38898</v>
      </c>
      <c r="AC20" s="16" t="b">
        <f t="shared" si="1"/>
        <v>0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.75" customHeight="1">
      <c r="A21" s="2"/>
      <c r="B21" s="29">
        <f>IF(FeesStart&lt;&gt;"",2007,"")</f>
        <v>2007</v>
      </c>
      <c r="C21" s="80">
        <f t="shared" si="0"/>
      </c>
      <c r="D21" s="73"/>
      <c r="E21" s="31"/>
      <c r="F21" s="2"/>
      <c r="G21" s="4"/>
      <c r="H21" s="6"/>
      <c r="I21" s="16"/>
      <c r="J21" s="34"/>
      <c r="K21" s="34"/>
      <c r="L21" s="17"/>
      <c r="M21" s="17"/>
      <c r="N21" s="16"/>
      <c r="O21" s="16"/>
      <c r="P21" s="33" t="s">
        <v>13</v>
      </c>
      <c r="Q21" s="16">
        <v>8</v>
      </c>
      <c r="R21" s="59">
        <v>2006</v>
      </c>
      <c r="S21" s="58">
        <v>212</v>
      </c>
      <c r="T21" s="58">
        <v>212</v>
      </c>
      <c r="U21" s="58">
        <v>1000</v>
      </c>
      <c r="V21" s="58">
        <v>1000</v>
      </c>
      <c r="W21" s="57">
        <v>40</v>
      </c>
      <c r="X21" s="57">
        <v>40</v>
      </c>
      <c r="Y21" s="57">
        <v>40</v>
      </c>
      <c r="Z21" s="57">
        <v>40</v>
      </c>
      <c r="AA21" s="71">
        <v>38899</v>
      </c>
      <c r="AB21" s="71">
        <v>39263</v>
      </c>
      <c r="AC21" s="16" t="b">
        <f t="shared" si="1"/>
        <v>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.75" customHeight="1">
      <c r="A22" s="2"/>
      <c r="B22" s="29">
        <f>IF(FeesStart&lt;&gt;"",2008,"")</f>
        <v>2008</v>
      </c>
      <c r="C22" s="80">
        <f t="shared" si="0"/>
      </c>
      <c r="D22" s="73"/>
      <c r="E22" s="31"/>
      <c r="F22" s="2"/>
      <c r="G22" s="4"/>
      <c r="H22" s="6"/>
      <c r="I22" s="16"/>
      <c r="J22" s="34"/>
      <c r="K22" s="34"/>
      <c r="L22" s="17"/>
      <c r="M22" s="17"/>
      <c r="N22" s="16"/>
      <c r="O22" s="16"/>
      <c r="P22" s="33" t="s">
        <v>14</v>
      </c>
      <c r="Q22" s="16">
        <v>9</v>
      </c>
      <c r="R22" s="59">
        <v>2007</v>
      </c>
      <c r="S22" s="58">
        <v>212</v>
      </c>
      <c r="T22" s="58">
        <v>212</v>
      </c>
      <c r="U22" s="58">
        <v>1000</v>
      </c>
      <c r="V22" s="58">
        <v>1000</v>
      </c>
      <c r="W22" s="57">
        <v>40</v>
      </c>
      <c r="X22" s="57">
        <v>40</v>
      </c>
      <c r="Y22" s="57">
        <v>40</v>
      </c>
      <c r="Z22" s="57">
        <v>40</v>
      </c>
      <c r="AA22" s="71">
        <v>39264</v>
      </c>
      <c r="AB22" s="71">
        <v>39629</v>
      </c>
      <c r="AC22" s="16" t="b">
        <f t="shared" si="1"/>
        <v>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.75" customHeight="1">
      <c r="A23" s="2"/>
      <c r="B23" s="29">
        <f>IF(FeesStart&lt;&gt;"",2009,"")</f>
        <v>2009</v>
      </c>
      <c r="C23" s="80">
        <f t="shared" si="0"/>
      </c>
      <c r="D23" s="73"/>
      <c r="E23" s="31"/>
      <c r="F23" s="2"/>
      <c r="G23" s="4"/>
      <c r="H23" s="6"/>
      <c r="I23" s="16"/>
      <c r="J23" s="34"/>
      <c r="K23" s="34"/>
      <c r="L23" s="17"/>
      <c r="M23" s="17"/>
      <c r="N23" s="16"/>
      <c r="O23" s="16"/>
      <c r="P23" s="33" t="s">
        <v>15</v>
      </c>
      <c r="Q23" s="16">
        <v>10</v>
      </c>
      <c r="R23" s="59">
        <v>2008</v>
      </c>
      <c r="S23" s="58">
        <v>212</v>
      </c>
      <c r="T23" s="58">
        <v>212</v>
      </c>
      <c r="U23" s="58">
        <v>1000</v>
      </c>
      <c r="V23" s="58">
        <v>1000</v>
      </c>
      <c r="W23" s="57">
        <v>40</v>
      </c>
      <c r="X23" s="57">
        <v>40</v>
      </c>
      <c r="Y23" s="57">
        <v>40</v>
      </c>
      <c r="Z23" s="57">
        <v>40</v>
      </c>
      <c r="AA23" s="71">
        <v>39630</v>
      </c>
      <c r="AB23" s="71">
        <v>39994</v>
      </c>
      <c r="AC23" s="16" t="b">
        <f t="shared" si="1"/>
        <v>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.75" customHeight="1">
      <c r="A24" s="2"/>
      <c r="B24" s="29">
        <f>IF(FeesStart&lt;&gt;"",2010,"")</f>
        <v>2010</v>
      </c>
      <c r="C24" s="80">
        <f t="shared" si="0"/>
      </c>
      <c r="D24" s="73"/>
      <c r="E24" s="36"/>
      <c r="F24" s="2"/>
      <c r="G24" s="4"/>
      <c r="H24" s="6"/>
      <c r="I24" s="16"/>
      <c r="J24" s="34"/>
      <c r="K24" s="34"/>
      <c r="L24" s="17"/>
      <c r="M24" s="17"/>
      <c r="N24" s="16"/>
      <c r="O24" s="16"/>
      <c r="P24" s="33" t="s">
        <v>16</v>
      </c>
      <c r="Q24" s="16">
        <v>11</v>
      </c>
      <c r="R24" s="59">
        <v>2009</v>
      </c>
      <c r="S24" s="58">
        <v>212</v>
      </c>
      <c r="T24" s="58">
        <v>212</v>
      </c>
      <c r="U24" s="58">
        <v>1000</v>
      </c>
      <c r="V24" s="58">
        <v>1000</v>
      </c>
      <c r="W24" s="57">
        <v>40</v>
      </c>
      <c r="X24" s="57">
        <v>40</v>
      </c>
      <c r="Y24" s="57">
        <v>40</v>
      </c>
      <c r="Z24" s="57">
        <v>40</v>
      </c>
      <c r="AA24" s="71">
        <v>39995</v>
      </c>
      <c r="AB24" s="71">
        <v>40359</v>
      </c>
      <c r="AC24" s="16" t="b">
        <f t="shared" si="1"/>
        <v>0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.75" customHeight="1">
      <c r="A25" s="2"/>
      <c r="B25" s="29">
        <f>IF(FeesStart&lt;&gt;"",2011,"")</f>
        <v>2011</v>
      </c>
      <c r="C25" s="80">
        <f t="shared" si="0"/>
      </c>
      <c r="D25" s="73"/>
      <c r="E25" s="31"/>
      <c r="F25" s="2"/>
      <c r="G25" s="4"/>
      <c r="H25" s="6"/>
      <c r="I25" s="16"/>
      <c r="J25" s="34"/>
      <c r="K25" s="34"/>
      <c r="L25" s="17"/>
      <c r="M25" s="17"/>
      <c r="N25" s="16"/>
      <c r="O25" s="16"/>
      <c r="P25" s="33" t="s">
        <v>17</v>
      </c>
      <c r="Q25" s="16">
        <v>12</v>
      </c>
      <c r="R25" s="59">
        <v>2010</v>
      </c>
      <c r="S25" s="58">
        <v>212</v>
      </c>
      <c r="T25" s="58">
        <v>218</v>
      </c>
      <c r="U25" s="58">
        <v>1000</v>
      </c>
      <c r="V25" s="58">
        <v>1029</v>
      </c>
      <c r="W25" s="57">
        <v>40</v>
      </c>
      <c r="X25" s="57">
        <v>41</v>
      </c>
      <c r="Y25" s="57">
        <v>40</v>
      </c>
      <c r="Z25" s="57">
        <v>41</v>
      </c>
      <c r="AA25" s="71">
        <v>40360</v>
      </c>
      <c r="AB25" s="71">
        <v>40724</v>
      </c>
      <c r="AC25" s="16" t="b">
        <f t="shared" si="1"/>
        <v>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.75" customHeight="1">
      <c r="A26" s="2"/>
      <c r="B26" s="29">
        <f>IF(FeesStart&lt;&gt;"",2012,"")</f>
        <v>2012</v>
      </c>
      <c r="C26" s="80">
        <f t="shared" si="0"/>
      </c>
      <c r="D26" s="73"/>
      <c r="E26" s="31"/>
      <c r="F26" s="2"/>
      <c r="G26" s="4"/>
      <c r="H26" s="6"/>
      <c r="I26" s="16"/>
      <c r="J26" s="34"/>
      <c r="K26" s="34"/>
      <c r="L26" s="17"/>
      <c r="M26" s="17"/>
      <c r="N26" s="16"/>
      <c r="O26" s="16"/>
      <c r="P26" s="16"/>
      <c r="Q26" s="16">
        <v>13</v>
      </c>
      <c r="R26" s="59">
        <v>2011</v>
      </c>
      <c r="S26" s="58">
        <v>218</v>
      </c>
      <c r="T26" s="58">
        <v>226.5</v>
      </c>
      <c r="U26" s="58">
        <v>1029</v>
      </c>
      <c r="V26" s="58">
        <v>1069</v>
      </c>
      <c r="W26" s="57">
        <v>41</v>
      </c>
      <c r="X26" s="57">
        <v>42</v>
      </c>
      <c r="Y26" s="57">
        <v>41</v>
      </c>
      <c r="Z26" s="57">
        <v>42</v>
      </c>
      <c r="AA26" s="71">
        <v>40725</v>
      </c>
      <c r="AB26" s="71">
        <v>41090</v>
      </c>
      <c r="AC26" s="16" t="b">
        <f t="shared" si="1"/>
        <v>0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.75" customHeight="1">
      <c r="A27" s="2"/>
      <c r="B27" s="29">
        <f>IF(FeesStart&lt;&gt;"",2013,"")</f>
        <v>2013</v>
      </c>
      <c r="C27" s="80">
        <f t="shared" si="0"/>
      </c>
      <c r="D27" s="73"/>
      <c r="E27" s="31"/>
      <c r="F27" s="2"/>
      <c r="G27" s="4"/>
      <c r="H27" s="6"/>
      <c r="I27" s="16"/>
      <c r="J27" s="34"/>
      <c r="K27" s="34"/>
      <c r="L27" s="17"/>
      <c r="M27" s="17"/>
      <c r="N27" s="16"/>
      <c r="O27" s="16"/>
      <c r="P27" s="16"/>
      <c r="Q27" s="16">
        <v>14</v>
      </c>
      <c r="R27" s="59">
        <v>2012</v>
      </c>
      <c r="S27" s="58">
        <v>226.5</v>
      </c>
      <c r="T27" s="58">
        <v>230</v>
      </c>
      <c r="U27" s="58">
        <v>1069</v>
      </c>
      <c r="V27" s="58">
        <v>1086</v>
      </c>
      <c r="W27" s="57">
        <v>42</v>
      </c>
      <c r="X27" s="57">
        <v>43</v>
      </c>
      <c r="Y27" s="57">
        <v>42</v>
      </c>
      <c r="Z27" s="57">
        <v>43</v>
      </c>
      <c r="AA27" s="71">
        <v>41091</v>
      </c>
      <c r="AB27" s="71">
        <v>41455</v>
      </c>
      <c r="AC27" s="16" t="b">
        <f t="shared" si="1"/>
        <v>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.75" customHeight="1">
      <c r="A28" s="2"/>
      <c r="B28" s="29">
        <f>IF(FeesStart&lt;&gt;"",2014,"")</f>
        <v>2014</v>
      </c>
      <c r="C28" s="80">
        <f t="shared" si="0"/>
      </c>
      <c r="D28" s="73"/>
      <c r="E28" s="8"/>
      <c r="F28" s="2"/>
      <c r="G28" s="4"/>
      <c r="H28" s="6"/>
      <c r="I28" s="16"/>
      <c r="J28" s="34"/>
      <c r="K28" s="34"/>
      <c r="L28" s="17"/>
      <c r="M28" s="17"/>
      <c r="N28" s="16"/>
      <c r="O28" s="16"/>
      <c r="P28" s="16"/>
      <c r="Q28" s="16">
        <v>15</v>
      </c>
      <c r="R28" s="59">
        <v>2013</v>
      </c>
      <c r="S28" s="58">
        <v>230</v>
      </c>
      <c r="T28" s="58">
        <v>236</v>
      </c>
      <c r="U28" s="58">
        <v>1086</v>
      </c>
      <c r="V28" s="58">
        <v>1113</v>
      </c>
      <c r="W28" s="57">
        <v>43</v>
      </c>
      <c r="X28" s="57">
        <v>44</v>
      </c>
      <c r="Y28" s="57">
        <v>43</v>
      </c>
      <c r="Z28" s="57">
        <v>44</v>
      </c>
      <c r="AA28" s="71">
        <v>41456</v>
      </c>
      <c r="AB28" s="71">
        <v>41820</v>
      </c>
      <c r="AC28" s="16" t="b">
        <f t="shared" si="1"/>
        <v>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.75" customHeight="1">
      <c r="A29" s="2"/>
      <c r="B29" s="29">
        <f>IF(FeesStart&lt;&gt;"",2015,"")</f>
        <v>2015</v>
      </c>
      <c r="C29" s="80">
        <f t="shared" si="0"/>
      </c>
      <c r="D29" s="73"/>
      <c r="E29" s="8"/>
      <c r="F29" s="2"/>
      <c r="G29" s="4"/>
      <c r="H29" s="6"/>
      <c r="I29" s="16"/>
      <c r="J29" s="34"/>
      <c r="K29" s="34"/>
      <c r="L29" s="17"/>
      <c r="M29" s="17"/>
      <c r="N29" s="16"/>
      <c r="O29" s="16"/>
      <c r="P29" s="16"/>
      <c r="Q29" s="16">
        <v>16</v>
      </c>
      <c r="R29" s="59">
        <v>2014</v>
      </c>
      <c r="S29" s="58">
        <v>236</v>
      </c>
      <c r="T29" s="58">
        <v>243</v>
      </c>
      <c r="U29" s="58">
        <v>1113</v>
      </c>
      <c r="V29" s="58">
        <v>1146</v>
      </c>
      <c r="W29" s="57">
        <v>44</v>
      </c>
      <c r="X29" s="58">
        <v>45</v>
      </c>
      <c r="Y29" s="57">
        <v>44</v>
      </c>
      <c r="Z29" s="58">
        <v>45</v>
      </c>
      <c r="AA29" s="71">
        <v>41821</v>
      </c>
      <c r="AB29" s="71">
        <v>42185</v>
      </c>
      <c r="AC29" s="16" t="b">
        <f t="shared" si="1"/>
        <v>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.75" customHeight="1">
      <c r="A30" s="2"/>
      <c r="B30" s="29">
        <f>IF(FeesStart&lt;&gt;"",2016,"")</f>
        <v>2016</v>
      </c>
      <c r="C30" s="80">
        <f t="shared" si="0"/>
      </c>
      <c r="D30" s="73"/>
      <c r="E30" s="8"/>
      <c r="F30" s="2"/>
      <c r="G30" s="4"/>
      <c r="H30" s="6"/>
      <c r="I30" s="16"/>
      <c r="J30" s="34"/>
      <c r="K30" s="34"/>
      <c r="L30" s="17"/>
      <c r="M30" s="17"/>
      <c r="N30" s="16"/>
      <c r="O30" s="16"/>
      <c r="P30" s="16"/>
      <c r="Q30" s="39">
        <v>17</v>
      </c>
      <c r="R30" s="59">
        <v>2015</v>
      </c>
      <c r="S30" s="58">
        <v>243</v>
      </c>
      <c r="T30" s="58">
        <v>246</v>
      </c>
      <c r="U30" s="58">
        <v>1146</v>
      </c>
      <c r="V30" s="58">
        <v>1161</v>
      </c>
      <c r="W30" s="58">
        <v>45</v>
      </c>
      <c r="X30" s="58">
        <v>46</v>
      </c>
      <c r="Y30" s="58">
        <v>45</v>
      </c>
      <c r="Z30" s="58">
        <v>46</v>
      </c>
      <c r="AA30" s="72">
        <v>42186</v>
      </c>
      <c r="AB30" s="72">
        <v>42551</v>
      </c>
      <c r="AC30" s="16" t="b">
        <f t="shared" si="1"/>
        <v>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.75" customHeight="1">
      <c r="A31" s="2"/>
      <c r="B31" s="29">
        <f>IF(FeesStart&lt;&gt;"",2017,"")</f>
        <v>2017</v>
      </c>
      <c r="C31" s="80">
        <f t="shared" si="0"/>
      </c>
      <c r="D31" s="73"/>
      <c r="E31" s="73"/>
      <c r="F31" s="2"/>
      <c r="G31" s="4"/>
      <c r="H31" s="6"/>
      <c r="I31" s="16"/>
      <c r="J31" s="34"/>
      <c r="K31" s="34"/>
      <c r="L31" s="17"/>
      <c r="M31" s="17"/>
      <c r="N31" s="16"/>
      <c r="O31" s="16"/>
      <c r="P31" s="16"/>
      <c r="Q31" s="39">
        <v>18</v>
      </c>
      <c r="R31" s="59">
        <v>2016</v>
      </c>
      <c r="S31" s="58">
        <v>246</v>
      </c>
      <c r="T31" s="58">
        <v>249</v>
      </c>
      <c r="U31" s="58">
        <v>1161</v>
      </c>
      <c r="V31" s="58">
        <v>1176</v>
      </c>
      <c r="W31" s="58">
        <v>46</v>
      </c>
      <c r="X31" s="58">
        <v>47</v>
      </c>
      <c r="Y31" s="58">
        <v>46</v>
      </c>
      <c r="Z31" s="58">
        <v>47</v>
      </c>
      <c r="AA31" s="72">
        <v>42552</v>
      </c>
      <c r="AB31" s="72">
        <v>42916</v>
      </c>
      <c r="AC31" s="16" t="b">
        <f t="shared" si="1"/>
        <v>0</v>
      </c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ht="15.75" customHeight="1">
      <c r="A32" s="2"/>
      <c r="B32" s="77">
        <f>IF(FeesStart&lt;&gt;"",2018,"")</f>
        <v>2018</v>
      </c>
      <c r="C32" s="80">
        <f t="shared" si="0"/>
      </c>
      <c r="D32" s="73"/>
      <c r="E32" s="62"/>
      <c r="F32" s="2"/>
      <c r="G32" s="4"/>
      <c r="H32" s="6"/>
      <c r="I32" s="16"/>
      <c r="J32" s="34"/>
      <c r="K32" s="34"/>
      <c r="L32" s="17"/>
      <c r="M32" s="17"/>
      <c r="N32" s="16"/>
      <c r="O32" s="16"/>
      <c r="P32" s="16"/>
      <c r="Q32" s="52">
        <v>19</v>
      </c>
      <c r="R32" s="60">
        <v>2017</v>
      </c>
      <c r="S32" s="61">
        <v>249</v>
      </c>
      <c r="T32" s="61">
        <v>254</v>
      </c>
      <c r="U32" s="61">
        <v>1176</v>
      </c>
      <c r="V32" s="61">
        <v>1201</v>
      </c>
      <c r="W32" s="61">
        <v>47</v>
      </c>
      <c r="X32" s="61">
        <v>48</v>
      </c>
      <c r="Y32" s="61">
        <v>47</v>
      </c>
      <c r="Z32" s="61">
        <v>48</v>
      </c>
      <c r="AA32" s="72">
        <v>42917</v>
      </c>
      <c r="AB32" s="72">
        <v>43281</v>
      </c>
      <c r="AC32" s="16" t="b">
        <f t="shared" si="1"/>
        <v>0</v>
      </c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</row>
    <row r="33" spans="1:50" s="42" customFormat="1" ht="18.75" customHeight="1">
      <c r="A33" s="2"/>
      <c r="B33" s="46" t="s">
        <v>22</v>
      </c>
      <c r="C33" s="81">
        <f>SUM(C14:C32)</f>
        <v>0</v>
      </c>
      <c r="D33" s="3"/>
      <c r="E33" s="3"/>
      <c r="F33" s="2"/>
      <c r="G33" s="4"/>
      <c r="H33" s="37"/>
      <c r="I33" s="39"/>
      <c r="J33" s="40"/>
      <c r="K33" s="40"/>
      <c r="L33" s="38"/>
      <c r="M33" s="38"/>
      <c r="N33" s="39"/>
      <c r="O33" s="39"/>
      <c r="P33" s="39"/>
      <c r="Q33" s="16">
        <v>24</v>
      </c>
      <c r="R33" s="78">
        <v>2018</v>
      </c>
      <c r="S33" s="61">
        <v>254</v>
      </c>
      <c r="T33" s="34">
        <v>263</v>
      </c>
      <c r="U33" s="61">
        <v>1201</v>
      </c>
      <c r="V33" s="75">
        <v>1224</v>
      </c>
      <c r="W33" s="61">
        <v>48</v>
      </c>
      <c r="X33" s="34">
        <v>53</v>
      </c>
      <c r="Y33" s="61">
        <v>48</v>
      </c>
      <c r="Z33" s="76">
        <v>49</v>
      </c>
      <c r="AA33" s="72">
        <v>43282</v>
      </c>
      <c r="AB33" s="72">
        <v>43646</v>
      </c>
      <c r="AC33" s="16" t="b">
        <f t="shared" si="1"/>
        <v>0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ht="15">
      <c r="A34" s="2"/>
      <c r="B34" s="2"/>
      <c r="C34" s="82"/>
      <c r="D34" s="2"/>
      <c r="E34" s="2"/>
      <c r="F34" s="2"/>
      <c r="G34" s="4"/>
      <c r="I34" s="16"/>
      <c r="J34" s="16"/>
      <c r="K34" s="16"/>
      <c r="L34" s="16"/>
      <c r="M34" s="16"/>
      <c r="N34" s="16"/>
      <c r="O34" s="16"/>
      <c r="P34" s="16"/>
      <c r="Q34" s="16">
        <v>25</v>
      </c>
      <c r="R34" s="23"/>
      <c r="S34" s="16"/>
      <c r="T34" s="16"/>
      <c r="U34" s="16"/>
      <c r="V34" s="16"/>
      <c r="W34" s="16"/>
      <c r="X34" s="17"/>
      <c r="Y34" s="18"/>
      <c r="Z34" s="18"/>
      <c r="AA34" s="18"/>
      <c r="AB34" s="18"/>
      <c r="AC34" s="1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27" thickBot="1">
      <c r="A35" s="2"/>
      <c r="B35" s="43" t="s">
        <v>19</v>
      </c>
      <c r="C35" s="83">
        <f>_xlfn.IFERROR(AppFee+RevFeeTotal,0)</f>
        <v>40</v>
      </c>
      <c r="D35" s="2"/>
      <c r="E35" s="2"/>
      <c r="F35" s="2"/>
      <c r="G35" s="4"/>
      <c r="I35" s="16"/>
      <c r="J35" s="16"/>
      <c r="K35" s="16"/>
      <c r="L35" s="16"/>
      <c r="M35" s="16"/>
      <c r="N35" s="16"/>
      <c r="O35" s="16"/>
      <c r="P35" s="16"/>
      <c r="Q35" s="16">
        <v>26</v>
      </c>
      <c r="R35" s="23"/>
      <c r="S35" s="16"/>
      <c r="T35" s="16"/>
      <c r="U35" s="16"/>
      <c r="V35" s="16"/>
      <c r="W35" s="16"/>
      <c r="X35" s="17"/>
      <c r="Y35" s="18"/>
      <c r="Z35" s="18"/>
      <c r="AA35" s="18"/>
      <c r="AB35" s="18"/>
      <c r="AC35" s="1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.75" thickTop="1">
      <c r="A36" s="2"/>
      <c r="B36" s="2"/>
      <c r="C36" s="2"/>
      <c r="D36" s="2"/>
      <c r="E36" s="2"/>
      <c r="F36" s="2"/>
      <c r="G36" s="4"/>
      <c r="I36" s="16"/>
      <c r="J36" s="16"/>
      <c r="K36" s="16"/>
      <c r="L36" s="16"/>
      <c r="M36" s="16"/>
      <c r="N36" s="16"/>
      <c r="O36" s="16"/>
      <c r="P36" s="16"/>
      <c r="AC36" s="1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21.75" customHeight="1">
      <c r="A37" s="2"/>
      <c r="B37" s="84"/>
      <c r="C37" s="84"/>
      <c r="D37" s="84"/>
      <c r="E37" s="44"/>
      <c r="F37" s="2"/>
      <c r="G37" s="4"/>
      <c r="H37" s="4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8"/>
      <c r="Z37" s="18"/>
      <c r="AA37" s="18"/>
      <c r="AB37" s="18"/>
      <c r="AC37" s="1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2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8"/>
      <c r="Z38" s="18"/>
      <c r="AA38" s="18"/>
      <c r="AB38" s="18"/>
      <c r="AC38" s="1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2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8"/>
      <c r="Z39" s="18"/>
      <c r="AA39" s="18"/>
      <c r="AB39" s="18"/>
      <c r="AC39" s="1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26"/>
      <c r="I40" s="16"/>
      <c r="J40" s="16"/>
      <c r="K40" s="16"/>
      <c r="L40" s="16"/>
      <c r="M40" s="16"/>
      <c r="N40" s="16"/>
      <c r="O40" s="16"/>
      <c r="P40" s="16"/>
      <c r="Y40" s="18"/>
      <c r="Z40" s="18"/>
      <c r="AA40" s="18"/>
      <c r="AB40" s="18"/>
      <c r="AC40" s="1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26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26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26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26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26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26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26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26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26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26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26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26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26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26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26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26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26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26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26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26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26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26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26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26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26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26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26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26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26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26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26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26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26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26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26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26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26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26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26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26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26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26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26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26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26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26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26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</sheetData>
  <sheetProtection sheet="1" objects="1" scenarios="1" selectLockedCells="1"/>
  <mergeCells count="5">
    <mergeCell ref="B37:D37"/>
    <mergeCell ref="Y13:Z13"/>
    <mergeCell ref="W13:X13"/>
    <mergeCell ref="U13:V13"/>
    <mergeCell ref="S13:T13"/>
  </mergeCells>
  <conditionalFormatting sqref="C4">
    <cfRule type="expression" priority="1" dxfId="1" stopIfTrue="1">
      <formula>IF(AND(NOT($F$4=""),NOT($F$5="")),TRUE,FALSE)</formula>
    </cfRule>
  </conditionalFormatting>
  <dataValidations count="1">
    <dataValidation type="list" allowBlank="1" showInputMessage="1" showErrorMessage="1" sqref="C8">
      <formula1>$O$17:$O$20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1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Reinstatement Calculator</dc:title>
  <dc:subject>Online Reinstatement Calculator</dc:subject>
  <dc:creator/>
  <cp:keywords>Online Reinstatement Calculator</cp:keywords>
  <dc:description/>
  <cp:lastModifiedBy/>
  <dcterms:created xsi:type="dcterms:W3CDTF">2015-07-01T03:48:31Z</dcterms:created>
  <dcterms:modified xsi:type="dcterms:W3CDTF">2018-08-16T05:59:10Z</dcterms:modified>
  <cp:category>Online Reinstatement Calculator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